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40" tabRatio="601" activeTab="0"/>
  </bookViews>
  <sheets>
    <sheet name="budj.2016" sheetId="1" r:id="rId1"/>
    <sheet name="Sheet1" sheetId="2" r:id="rId2"/>
  </sheets>
  <definedNames>
    <definedName name="_xlnm.Print_Area" localSheetId="0">'budj.2016'!$A$1:$O$59</definedName>
  </definedNames>
  <calcPr fullCalcOnLoad="1"/>
</workbook>
</file>

<file path=xl/sharedStrings.xml><?xml version="1.0" encoding="utf-8"?>
<sst xmlns="http://schemas.openxmlformats.org/spreadsheetml/2006/main" count="141" uniqueCount="41">
  <si>
    <t>І.Общи държавни служби</t>
  </si>
  <si>
    <t>ІІ.Отбрана и сигурност</t>
  </si>
  <si>
    <t>ІІІ.Образование</t>
  </si>
  <si>
    <t>ІV.Здравеопазване</t>
  </si>
  <si>
    <t>V.Социално осиг.и грижи</t>
  </si>
  <si>
    <t>VІ.Благоустрояване</t>
  </si>
  <si>
    <t>VІІ.Култура,почивно дело</t>
  </si>
  <si>
    <t>Наименование</t>
  </si>
  <si>
    <t>на функцията</t>
  </si>
  <si>
    <t>VІІІ.Икономически дейн.</t>
  </si>
  <si>
    <t xml:space="preserve">Общо </t>
  </si>
  <si>
    <t>Първонач.</t>
  </si>
  <si>
    <t>Дофинансиране</t>
  </si>
  <si>
    <t>&gt;трудови разходи</t>
  </si>
  <si>
    <t>&gt;издръжка</t>
  </si>
  <si>
    <t>&gt;капиталови разходи</t>
  </si>
  <si>
    <t>Всички функции</t>
  </si>
  <si>
    <t>&gt;резерв</t>
  </si>
  <si>
    <t xml:space="preserve">           Общо:</t>
  </si>
  <si>
    <t>&gt;разходи за лихви</t>
  </si>
  <si>
    <t>&gt; резерв</t>
  </si>
  <si>
    <t>ІХ. Други</t>
  </si>
  <si>
    <t>Държавни дейности</t>
  </si>
  <si>
    <t xml:space="preserve">Общински дейности </t>
  </si>
  <si>
    <t>към Решение №</t>
  </si>
  <si>
    <t>на Общински съвет Габрово</t>
  </si>
  <si>
    <t>бюджет-2016</t>
  </si>
  <si>
    <t xml:space="preserve">                                                         КЪМ 31 ДЕКЕМВРИ 2016 Г.</t>
  </si>
  <si>
    <t>бюджет 2016</t>
  </si>
  <si>
    <t xml:space="preserve">Оконч. </t>
  </si>
  <si>
    <t>Отчет</t>
  </si>
  <si>
    <t>к.4/к.3</t>
  </si>
  <si>
    <t>к.8/к.7</t>
  </si>
  <si>
    <t>к.12/к.11</t>
  </si>
  <si>
    <t>к.16/к.15</t>
  </si>
  <si>
    <t>%</t>
  </si>
  <si>
    <t>ОТЧЕТ НА РАЗХОДИТЕ ПО ФУНКЦИИ</t>
  </si>
  <si>
    <t>х</t>
  </si>
  <si>
    <t>x</t>
  </si>
  <si>
    <t xml:space="preserve"> x</t>
  </si>
  <si>
    <t>Приложение №3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</si>
</sst>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00\ _л_в_-;\-* #,##0.000\ _л_в_-;_-* &quot;-&quot;??\ _л_в_-;_-@_-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0.0000000"/>
    <numFmt numFmtId="179" formatCode="0.000000"/>
    <numFmt numFmtId="180" formatCode="0.00000"/>
    <numFmt numFmtId="181" formatCode="0.00000000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70" fontId="1" fillId="0" borderId="11" xfId="44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1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zoomScalePageLayoutView="0" workbookViewId="0" topLeftCell="A2">
      <selection activeCell="A3" sqref="A3:M3"/>
    </sheetView>
  </sheetViews>
  <sheetFormatPr defaultColWidth="9.140625" defaultRowHeight="12.75"/>
  <cols>
    <col min="1" max="1" width="24.57421875" style="2" customWidth="1"/>
    <col min="2" max="2" width="11.421875" style="2" customWidth="1"/>
    <col min="3" max="5" width="11.28125" style="2" customWidth="1"/>
    <col min="6" max="6" width="11.421875" style="2" customWidth="1"/>
    <col min="7" max="10" width="12.00390625" style="2" customWidth="1"/>
    <col min="11" max="13" width="11.140625" style="2" customWidth="1"/>
    <col min="14" max="15" width="11.7109375" style="2" customWidth="1"/>
    <col min="16" max="16" width="12.140625" style="2" customWidth="1"/>
    <col min="17" max="16384" width="9.140625" style="2" customWidth="1"/>
  </cols>
  <sheetData>
    <row r="1" ht="12" hidden="1"/>
    <row r="2" spans="1:15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40</v>
      </c>
      <c r="O2" s="3"/>
    </row>
    <row r="3" spans="1:15" ht="12">
      <c r="A3" s="114" t="s">
        <v>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2" t="s">
        <v>24</v>
      </c>
      <c r="O3" s="112"/>
    </row>
    <row r="4" spans="1:15" s="4" customFormat="1" ht="12">
      <c r="A4" s="113" t="s">
        <v>27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7"/>
      <c r="M4" s="7"/>
      <c r="N4" s="3" t="s">
        <v>25</v>
      </c>
      <c r="O4" s="3"/>
    </row>
    <row r="5" spans="1:17" ht="12.75" customHeight="1">
      <c r="A5" s="5" t="s">
        <v>7</v>
      </c>
      <c r="B5" s="115" t="s">
        <v>10</v>
      </c>
      <c r="C5" s="116"/>
      <c r="D5" s="116"/>
      <c r="E5" s="117"/>
      <c r="F5" s="116" t="s">
        <v>22</v>
      </c>
      <c r="G5" s="116"/>
      <c r="H5" s="116"/>
      <c r="I5" s="117"/>
      <c r="J5" s="115" t="s">
        <v>12</v>
      </c>
      <c r="K5" s="116"/>
      <c r="L5" s="116"/>
      <c r="M5" s="117"/>
      <c r="N5" s="115" t="s">
        <v>23</v>
      </c>
      <c r="O5" s="116"/>
      <c r="P5" s="116"/>
      <c r="Q5" s="117"/>
    </row>
    <row r="6" spans="1:17" ht="12">
      <c r="A6" s="6" t="s">
        <v>8</v>
      </c>
      <c r="B6" s="5" t="s">
        <v>11</v>
      </c>
      <c r="C6" s="32" t="s">
        <v>29</v>
      </c>
      <c r="D6" s="32" t="s">
        <v>30</v>
      </c>
      <c r="E6" s="32" t="s">
        <v>31</v>
      </c>
      <c r="F6" s="5" t="s">
        <v>11</v>
      </c>
      <c r="G6" s="32" t="s">
        <v>29</v>
      </c>
      <c r="H6" s="32" t="s">
        <v>30</v>
      </c>
      <c r="I6" s="32" t="s">
        <v>32</v>
      </c>
      <c r="J6" s="5" t="s">
        <v>11</v>
      </c>
      <c r="K6" s="32" t="s">
        <v>29</v>
      </c>
      <c r="L6" s="32" t="s">
        <v>30</v>
      </c>
      <c r="M6" s="32" t="s">
        <v>33</v>
      </c>
      <c r="N6" s="5" t="s">
        <v>11</v>
      </c>
      <c r="O6" s="32" t="s">
        <v>29</v>
      </c>
      <c r="P6" s="32" t="s">
        <v>30</v>
      </c>
      <c r="Q6" s="5" t="s">
        <v>34</v>
      </c>
    </row>
    <row r="7" spans="1:17" ht="12">
      <c r="A7" s="6"/>
      <c r="B7" s="6" t="s">
        <v>26</v>
      </c>
      <c r="C7" s="9" t="s">
        <v>28</v>
      </c>
      <c r="D7" s="9">
        <v>2016</v>
      </c>
      <c r="E7" s="9" t="s">
        <v>35</v>
      </c>
      <c r="F7" s="6" t="s">
        <v>26</v>
      </c>
      <c r="G7" s="9" t="s">
        <v>28</v>
      </c>
      <c r="H7" s="9">
        <v>2016</v>
      </c>
      <c r="I7" s="9" t="s">
        <v>35</v>
      </c>
      <c r="J7" s="6" t="s">
        <v>26</v>
      </c>
      <c r="K7" s="9" t="s">
        <v>28</v>
      </c>
      <c r="L7" s="9">
        <v>2016</v>
      </c>
      <c r="M7" s="9" t="s">
        <v>35</v>
      </c>
      <c r="N7" s="6" t="s">
        <v>26</v>
      </c>
      <c r="O7" s="9" t="s">
        <v>28</v>
      </c>
      <c r="P7" s="9">
        <v>2016</v>
      </c>
      <c r="Q7" s="64" t="s">
        <v>35</v>
      </c>
    </row>
    <row r="8" spans="1:17" s="27" customFormat="1" ht="12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</row>
    <row r="9" spans="1:17" s="35" customFormat="1" ht="12">
      <c r="A9" s="33" t="s">
        <v>0</v>
      </c>
      <c r="B9" s="34">
        <f aca="true" t="shared" si="0" ref="B9:B23">F9+J9+N9</f>
        <v>3682263</v>
      </c>
      <c r="C9" s="33">
        <f aca="true" t="shared" si="1" ref="C9:D23">G9+O9+K9</f>
        <v>4137976</v>
      </c>
      <c r="D9" s="33">
        <f t="shared" si="1"/>
        <v>3687367</v>
      </c>
      <c r="E9" s="91">
        <f>D9/C9*100</f>
        <v>89.11040083364428</v>
      </c>
      <c r="F9" s="33">
        <f aca="true" t="shared" si="2" ref="F9:P9">SUM(F10+F11+F12+F13)</f>
        <v>1452369</v>
      </c>
      <c r="G9" s="33">
        <f t="shared" si="2"/>
        <v>1770891</v>
      </c>
      <c r="H9" s="33">
        <f>SUM(H10+H11+H12+H13)</f>
        <v>1567710</v>
      </c>
      <c r="I9" s="81">
        <f>H9/G9*100</f>
        <v>88.52662303891093</v>
      </c>
      <c r="J9" s="33">
        <f t="shared" si="2"/>
        <v>998850</v>
      </c>
      <c r="K9" s="33">
        <f t="shared" si="2"/>
        <v>998850</v>
      </c>
      <c r="L9" s="33">
        <f t="shared" si="2"/>
        <v>898694</v>
      </c>
      <c r="M9" s="81">
        <f>L9/K9*100</f>
        <v>89.97286879911898</v>
      </c>
      <c r="N9" s="33">
        <f t="shared" si="2"/>
        <v>1231044</v>
      </c>
      <c r="O9" s="33">
        <f t="shared" si="2"/>
        <v>1368235</v>
      </c>
      <c r="P9" s="33">
        <f t="shared" si="2"/>
        <v>1220963</v>
      </c>
      <c r="Q9" s="104">
        <f>P9/O9*100</f>
        <v>89.23635194246602</v>
      </c>
    </row>
    <row r="10" spans="1:17" ht="12">
      <c r="A10" s="11" t="s">
        <v>13</v>
      </c>
      <c r="B10" s="22">
        <f t="shared" si="0"/>
        <v>2721729</v>
      </c>
      <c r="C10" s="23">
        <f t="shared" si="1"/>
        <v>3037508</v>
      </c>
      <c r="D10" s="23">
        <f t="shared" si="1"/>
        <v>2738227</v>
      </c>
      <c r="E10" s="90">
        <f>D10/C10*100</f>
        <v>90.1471535219002</v>
      </c>
      <c r="F10" s="12">
        <v>1437229</v>
      </c>
      <c r="G10" s="43">
        <f>1179876+233876+332199</f>
        <v>1745951</v>
      </c>
      <c r="H10" s="43">
        <f>185125+47041+1019083+48751+246555</f>
        <v>1546555</v>
      </c>
      <c r="I10" s="83">
        <f aca="true" t="shared" si="3" ref="I10:I59">H10/G10*100</f>
        <v>88.57951912739819</v>
      </c>
      <c r="J10" s="79">
        <v>986850</v>
      </c>
      <c r="K10" s="43">
        <f>729133+88040+176267</f>
        <v>993440</v>
      </c>
      <c r="L10" s="43">
        <f>671145+63739+163810</f>
        <v>898694</v>
      </c>
      <c r="M10" s="83">
        <f>L10/K10*100</f>
        <v>90.46283620550814</v>
      </c>
      <c r="N10" s="44">
        <v>297650</v>
      </c>
      <c r="O10" s="29">
        <f>33100+220919+44098</f>
        <v>298117</v>
      </c>
      <c r="P10" s="8">
        <f>32934+217033+38697+3886+428</f>
        <v>292978</v>
      </c>
      <c r="Q10" s="103">
        <f>P10/O10*100</f>
        <v>98.27618015745496</v>
      </c>
    </row>
    <row r="11" spans="1:17" ht="12">
      <c r="A11" s="14" t="s">
        <v>14</v>
      </c>
      <c r="B11" s="22">
        <f t="shared" si="0"/>
        <v>925234</v>
      </c>
      <c r="C11" s="23">
        <f t="shared" si="1"/>
        <v>1011738</v>
      </c>
      <c r="D11" s="23">
        <f t="shared" si="1"/>
        <v>910544</v>
      </c>
      <c r="E11" s="90">
        <f aca="true" t="shared" si="4" ref="E11:E59">D11/C11*100</f>
        <v>89.99800343567208</v>
      </c>
      <c r="F11" s="12">
        <v>15140</v>
      </c>
      <c r="G11" s="12">
        <v>24940</v>
      </c>
      <c r="H11" s="12">
        <f>21125+30</f>
        <v>21155</v>
      </c>
      <c r="I11" s="84">
        <f t="shared" si="3"/>
        <v>84.82357658380111</v>
      </c>
      <c r="J11" s="60">
        <v>12000</v>
      </c>
      <c r="K11" s="13">
        <v>5410</v>
      </c>
      <c r="L11" s="13">
        <v>0</v>
      </c>
      <c r="M11" s="84">
        <f>L11/K11*100</f>
        <v>0</v>
      </c>
      <c r="N11" s="8">
        <v>898094</v>
      </c>
      <c r="O11" s="14">
        <f>793837+11891+175660</f>
        <v>981388</v>
      </c>
      <c r="P11" s="8">
        <f>675163+11458+148464+18609+33535+660+1500</f>
        <v>889389</v>
      </c>
      <c r="Q11" s="105">
        <f aca="true" t="shared" si="5" ref="Q11:Q59">P11/O11*100</f>
        <v>90.62562411604789</v>
      </c>
    </row>
    <row r="12" spans="1:17" ht="12">
      <c r="A12" s="14" t="s">
        <v>15</v>
      </c>
      <c r="B12" s="22">
        <f t="shared" si="0"/>
        <v>35300</v>
      </c>
      <c r="C12" s="23">
        <f t="shared" si="1"/>
        <v>88730</v>
      </c>
      <c r="D12" s="23">
        <f t="shared" si="1"/>
        <v>38596</v>
      </c>
      <c r="E12" s="90">
        <f t="shared" si="4"/>
        <v>43.49825312746534</v>
      </c>
      <c r="F12" s="12">
        <v>0</v>
      </c>
      <c r="G12" s="12">
        <v>0</v>
      </c>
      <c r="H12" s="12">
        <v>0</v>
      </c>
      <c r="I12" s="85" t="s">
        <v>37</v>
      </c>
      <c r="J12" s="80">
        <v>0</v>
      </c>
      <c r="K12" s="20">
        <v>0</v>
      </c>
      <c r="L12" s="20">
        <v>0</v>
      </c>
      <c r="M12" s="77" t="s">
        <v>38</v>
      </c>
      <c r="N12" s="45">
        <v>35300</v>
      </c>
      <c r="O12" s="15">
        <v>88730</v>
      </c>
      <c r="P12" s="8">
        <f>5800+27396+5400</f>
        <v>38596</v>
      </c>
      <c r="Q12" s="106">
        <f t="shared" si="5"/>
        <v>43.49825312746534</v>
      </c>
    </row>
    <row r="13" spans="1:17" ht="12" hidden="1">
      <c r="A13" s="14" t="s">
        <v>17</v>
      </c>
      <c r="B13" s="10">
        <f t="shared" si="0"/>
        <v>0</v>
      </c>
      <c r="C13" s="28">
        <f t="shared" si="1"/>
        <v>0</v>
      </c>
      <c r="D13" s="28">
        <f t="shared" si="1"/>
        <v>0</v>
      </c>
      <c r="E13" s="90" t="e">
        <f t="shared" si="4"/>
        <v>#DIV/0!</v>
      </c>
      <c r="G13" s="12"/>
      <c r="H13" s="12"/>
      <c r="I13" s="82" t="e">
        <f t="shared" si="3"/>
        <v>#DIV/0!</v>
      </c>
      <c r="K13" s="13">
        <v>0</v>
      </c>
      <c r="L13" s="60"/>
      <c r="M13" s="65"/>
      <c r="N13" s="8"/>
      <c r="O13" s="14">
        <v>0</v>
      </c>
      <c r="P13" s="8"/>
      <c r="Q13" s="105" t="e">
        <f t="shared" si="5"/>
        <v>#DIV/0!</v>
      </c>
    </row>
    <row r="14" spans="1:17" s="35" customFormat="1" ht="12">
      <c r="A14" s="33" t="s">
        <v>1</v>
      </c>
      <c r="B14" s="34">
        <f t="shared" si="0"/>
        <v>888031</v>
      </c>
      <c r="C14" s="36">
        <f t="shared" si="1"/>
        <v>1592816</v>
      </c>
      <c r="D14" s="36">
        <f t="shared" si="1"/>
        <v>1416059</v>
      </c>
      <c r="E14" s="91">
        <f t="shared" si="4"/>
        <v>88.90286134745004</v>
      </c>
      <c r="F14" s="33">
        <f aca="true" t="shared" si="6" ref="F14:P14">SUM(F15+F16+F17+F18)</f>
        <v>839909</v>
      </c>
      <c r="G14" s="33">
        <f t="shared" si="6"/>
        <v>1458694</v>
      </c>
      <c r="H14" s="33">
        <f>SUM(H15+H16+H17+H18)</f>
        <v>1311863</v>
      </c>
      <c r="I14" s="81">
        <f t="shared" si="3"/>
        <v>89.93407801773368</v>
      </c>
      <c r="J14" s="33">
        <f t="shared" si="6"/>
        <v>0</v>
      </c>
      <c r="K14" s="33">
        <f t="shared" si="6"/>
        <v>0</v>
      </c>
      <c r="L14" s="33">
        <f t="shared" si="6"/>
        <v>0</v>
      </c>
      <c r="M14" s="66" t="s">
        <v>38</v>
      </c>
      <c r="N14" s="33">
        <f t="shared" si="6"/>
        <v>48122</v>
      </c>
      <c r="O14" s="33">
        <f t="shared" si="6"/>
        <v>134122</v>
      </c>
      <c r="P14" s="33">
        <f t="shared" si="6"/>
        <v>104196</v>
      </c>
      <c r="Q14" s="104">
        <f t="shared" si="5"/>
        <v>77.6874785642922</v>
      </c>
    </row>
    <row r="15" spans="1:17" ht="12">
      <c r="A15" s="11" t="s">
        <v>13</v>
      </c>
      <c r="B15" s="22">
        <f t="shared" si="0"/>
        <v>169605</v>
      </c>
      <c r="C15" s="25">
        <f t="shared" si="1"/>
        <v>170499</v>
      </c>
      <c r="D15" s="25">
        <f t="shared" si="1"/>
        <v>126128</v>
      </c>
      <c r="E15" s="90">
        <f t="shared" si="4"/>
        <v>73.97580044457739</v>
      </c>
      <c r="F15" s="23">
        <v>169605</v>
      </c>
      <c r="G15" s="21">
        <f>92110+53950+24439</f>
        <v>170499</v>
      </c>
      <c r="H15" s="25">
        <f>27839+33199+7245+46735+2557+8553</f>
        <v>126128</v>
      </c>
      <c r="I15" s="83">
        <f t="shared" si="3"/>
        <v>73.97580044457739</v>
      </c>
      <c r="J15" s="44">
        <v>0</v>
      </c>
      <c r="K15" s="54">
        <v>0</v>
      </c>
      <c r="L15" s="61">
        <v>0</v>
      </c>
      <c r="M15" s="67" t="s">
        <v>38</v>
      </c>
      <c r="N15" s="44">
        <v>0</v>
      </c>
      <c r="O15" s="22">
        <v>0</v>
      </c>
      <c r="P15" s="8">
        <v>0</v>
      </c>
      <c r="Q15" s="107" t="s">
        <v>38</v>
      </c>
    </row>
    <row r="16" spans="1:17" ht="12">
      <c r="A16" s="14" t="s">
        <v>14</v>
      </c>
      <c r="B16" s="22">
        <f t="shared" si="0"/>
        <v>221373</v>
      </c>
      <c r="C16" s="23">
        <f t="shared" si="1"/>
        <v>724959</v>
      </c>
      <c r="D16" s="23">
        <f t="shared" si="1"/>
        <v>625564</v>
      </c>
      <c r="E16" s="90">
        <f t="shared" si="4"/>
        <v>86.28956947910157</v>
      </c>
      <c r="F16" s="23">
        <v>173251</v>
      </c>
      <c r="G16" s="22">
        <f>676707+130</f>
        <v>676837</v>
      </c>
      <c r="H16" s="23">
        <f>59985+4627+127+4236+507181+1327</f>
        <v>577483</v>
      </c>
      <c r="I16" s="84">
        <f t="shared" si="3"/>
        <v>85.3208379565538</v>
      </c>
      <c r="J16" s="8">
        <v>0</v>
      </c>
      <c r="K16" s="55">
        <v>0</v>
      </c>
      <c r="L16" s="62">
        <v>0</v>
      </c>
      <c r="M16" s="68" t="s">
        <v>38</v>
      </c>
      <c r="N16" s="48">
        <v>48122</v>
      </c>
      <c r="O16" s="22">
        <v>48122</v>
      </c>
      <c r="P16" s="8">
        <f>48081</f>
        <v>48081</v>
      </c>
      <c r="Q16" s="105">
        <f t="shared" si="5"/>
        <v>99.91479988362912</v>
      </c>
    </row>
    <row r="17" spans="1:17" ht="12">
      <c r="A17" s="14" t="s">
        <v>15</v>
      </c>
      <c r="B17" s="22">
        <f t="shared" si="0"/>
        <v>497053</v>
      </c>
      <c r="C17" s="31">
        <f t="shared" si="1"/>
        <v>697358</v>
      </c>
      <c r="D17" s="31">
        <f t="shared" si="1"/>
        <v>664367</v>
      </c>
      <c r="E17" s="90">
        <f t="shared" si="4"/>
        <v>95.2691443992899</v>
      </c>
      <c r="F17" s="23">
        <v>497053</v>
      </c>
      <c r="G17" s="22">
        <v>611358</v>
      </c>
      <c r="H17" s="23">
        <f>13347+594905</f>
        <v>608252</v>
      </c>
      <c r="I17" s="86">
        <f t="shared" si="3"/>
        <v>99.49195070646005</v>
      </c>
      <c r="J17" s="45">
        <v>0</v>
      </c>
      <c r="K17" s="55">
        <v>0</v>
      </c>
      <c r="L17" s="62">
        <v>0</v>
      </c>
      <c r="M17" s="69" t="s">
        <v>38</v>
      </c>
      <c r="N17" s="45">
        <v>0</v>
      </c>
      <c r="O17" s="22">
        <v>86000</v>
      </c>
      <c r="P17" s="8">
        <v>56115</v>
      </c>
      <c r="Q17" s="106">
        <f t="shared" si="5"/>
        <v>65.25</v>
      </c>
    </row>
    <row r="18" spans="1:17" ht="12" hidden="1">
      <c r="A18" s="14" t="s">
        <v>17</v>
      </c>
      <c r="B18" s="10">
        <f t="shared" si="0"/>
        <v>0</v>
      </c>
      <c r="C18" s="28">
        <f t="shared" si="1"/>
        <v>0</v>
      </c>
      <c r="D18" s="28">
        <f t="shared" si="1"/>
        <v>0</v>
      </c>
      <c r="E18" s="90" t="e">
        <f t="shared" si="4"/>
        <v>#DIV/0!</v>
      </c>
      <c r="G18" s="12">
        <v>0</v>
      </c>
      <c r="H18" s="12">
        <v>0</v>
      </c>
      <c r="I18" s="82" t="e">
        <f t="shared" si="3"/>
        <v>#DIV/0!</v>
      </c>
      <c r="K18" s="13">
        <v>0</v>
      </c>
      <c r="L18" s="60"/>
      <c r="M18" s="65"/>
      <c r="N18" s="8"/>
      <c r="O18" s="14">
        <v>0</v>
      </c>
      <c r="P18" s="8"/>
      <c r="Q18" s="105" t="e">
        <f t="shared" si="5"/>
        <v>#DIV/0!</v>
      </c>
    </row>
    <row r="19" spans="1:17" s="35" customFormat="1" ht="12">
      <c r="A19" s="33" t="s">
        <v>2</v>
      </c>
      <c r="B19" s="34">
        <f t="shared" si="0"/>
        <v>12020533</v>
      </c>
      <c r="C19" s="36">
        <f t="shared" si="1"/>
        <v>12697152</v>
      </c>
      <c r="D19" s="36">
        <f t="shared" si="1"/>
        <v>12314959</v>
      </c>
      <c r="E19" s="91">
        <f t="shared" si="4"/>
        <v>96.98993128537802</v>
      </c>
      <c r="F19" s="33">
        <f>SUM(F20+F21+F22+F23)</f>
        <v>10865077</v>
      </c>
      <c r="G19" s="33">
        <f>SUM(G20+G21+G22+G23+G24)</f>
        <v>11537927</v>
      </c>
      <c r="H19" s="33">
        <f>SUM(H20+H21+H22+H23+H24)</f>
        <v>11176788</v>
      </c>
      <c r="I19" s="81">
        <f t="shared" si="3"/>
        <v>96.86998366344318</v>
      </c>
      <c r="J19" s="47">
        <f>SUM(J20+J21+J22+J23)</f>
        <v>0</v>
      </c>
      <c r="K19" s="47">
        <f>SUM(K20+K21+K22+K23)</f>
        <v>0</v>
      </c>
      <c r="L19" s="33">
        <f>SUM(L20+L21+L22+L23)</f>
        <v>0</v>
      </c>
      <c r="M19" s="70" t="s">
        <v>38</v>
      </c>
      <c r="N19" s="47">
        <f>SUM(N20+N21+N22+N23)</f>
        <v>1155456</v>
      </c>
      <c r="O19" s="33">
        <f>SUM(O20+O21+O22+O23)</f>
        <v>1159225</v>
      </c>
      <c r="P19" s="33">
        <f>SUM(P20+P21+P22+P23)</f>
        <v>1138171</v>
      </c>
      <c r="Q19" s="104">
        <f t="shared" si="5"/>
        <v>98.18378658155234</v>
      </c>
    </row>
    <row r="20" spans="1:17" ht="12">
      <c r="A20" s="11" t="s">
        <v>13</v>
      </c>
      <c r="B20" s="25">
        <f t="shared" si="0"/>
        <v>9076560</v>
      </c>
      <c r="C20" s="25">
        <f t="shared" si="1"/>
        <v>9506377</v>
      </c>
      <c r="D20" s="25">
        <f t="shared" si="1"/>
        <v>9414341</v>
      </c>
      <c r="E20" s="90">
        <f t="shared" si="4"/>
        <v>99.03184988350452</v>
      </c>
      <c r="F20" s="23">
        <v>9076560</v>
      </c>
      <c r="G20" s="23">
        <f>7255687+661510+1589180</f>
        <v>9506377</v>
      </c>
      <c r="H20" s="23">
        <f>2525888+189074+530947+17097+53+3526+90041+4519+19694+4517969+446164+995277+37990+1666+8498+21427+622+3887+2</f>
        <v>9414341</v>
      </c>
      <c r="I20" s="83">
        <f t="shared" si="3"/>
        <v>99.03184988350452</v>
      </c>
      <c r="J20" s="61">
        <v>0</v>
      </c>
      <c r="K20" s="46">
        <v>0</v>
      </c>
      <c r="L20" s="46">
        <v>0</v>
      </c>
      <c r="M20" s="71" t="s">
        <v>38</v>
      </c>
      <c r="N20" s="21">
        <v>0</v>
      </c>
      <c r="O20" s="58">
        <v>0</v>
      </c>
      <c r="P20" s="8">
        <v>0</v>
      </c>
      <c r="Q20" s="107" t="s">
        <v>38</v>
      </c>
    </row>
    <row r="21" spans="1:17" ht="12">
      <c r="A21" s="14" t="s">
        <v>14</v>
      </c>
      <c r="B21" s="23">
        <f t="shared" si="0"/>
        <v>2794836</v>
      </c>
      <c r="C21" s="23">
        <f t="shared" si="1"/>
        <v>2969040</v>
      </c>
      <c r="D21" s="23">
        <f t="shared" si="1"/>
        <v>2689403</v>
      </c>
      <c r="E21" s="90">
        <f t="shared" si="4"/>
        <v>90.58156845310269</v>
      </c>
      <c r="F21" s="23">
        <v>1639380</v>
      </c>
      <c r="G21" s="23">
        <f>1752686+3689+53440</f>
        <v>1809815</v>
      </c>
      <c r="H21" s="23">
        <f>159817+3092+8425+348+1252335+6+48327+4045+71154+3683</f>
        <v>1551232</v>
      </c>
      <c r="I21" s="84">
        <f t="shared" si="3"/>
        <v>85.71218605216555</v>
      </c>
      <c r="J21" s="62">
        <v>0</v>
      </c>
      <c r="K21" s="24">
        <v>0</v>
      </c>
      <c r="L21" s="24">
        <v>0</v>
      </c>
      <c r="M21" s="72" t="s">
        <v>38</v>
      </c>
      <c r="N21" s="22">
        <v>1155456</v>
      </c>
      <c r="O21" s="58">
        <f>1139125+100+20000</f>
        <v>1159225</v>
      </c>
      <c r="P21" s="8">
        <f>1120458+17713</f>
        <v>1138171</v>
      </c>
      <c r="Q21" s="105">
        <f t="shared" si="5"/>
        <v>98.18378658155234</v>
      </c>
    </row>
    <row r="22" spans="1:17" ht="12">
      <c r="A22" s="14" t="s">
        <v>15</v>
      </c>
      <c r="B22" s="23">
        <f t="shared" si="0"/>
        <v>149137</v>
      </c>
      <c r="C22" s="23">
        <f t="shared" si="1"/>
        <v>221735</v>
      </c>
      <c r="D22" s="23">
        <f t="shared" si="1"/>
        <v>211215</v>
      </c>
      <c r="E22" s="90">
        <f t="shared" si="4"/>
        <v>95.25559789839222</v>
      </c>
      <c r="F22" s="23">
        <v>149137</v>
      </c>
      <c r="G22" s="23">
        <v>221735</v>
      </c>
      <c r="H22" s="23">
        <f>650+72268+136110+2187</f>
        <v>211215</v>
      </c>
      <c r="I22" s="84">
        <f t="shared" si="3"/>
        <v>95.25559789839222</v>
      </c>
      <c r="J22" s="62">
        <v>0</v>
      </c>
      <c r="K22" s="24">
        <v>0</v>
      </c>
      <c r="L22" s="24">
        <v>0</v>
      </c>
      <c r="M22" s="72" t="s">
        <v>38</v>
      </c>
      <c r="N22" s="22">
        <v>0</v>
      </c>
      <c r="O22" s="58">
        <v>0</v>
      </c>
      <c r="P22" s="8">
        <v>0</v>
      </c>
      <c r="Q22" s="109" t="s">
        <v>38</v>
      </c>
    </row>
    <row r="23" spans="1:17" ht="12" hidden="1">
      <c r="A23" s="14" t="s">
        <v>17</v>
      </c>
      <c r="B23" s="23">
        <f t="shared" si="0"/>
        <v>0</v>
      </c>
      <c r="C23" s="28">
        <f t="shared" si="1"/>
        <v>0</v>
      </c>
      <c r="D23" s="28">
        <f t="shared" si="1"/>
        <v>0</v>
      </c>
      <c r="E23" s="90" t="e">
        <f t="shared" si="4"/>
        <v>#DIV/0!</v>
      </c>
      <c r="F23" s="12">
        <v>0</v>
      </c>
      <c r="G23" s="12"/>
      <c r="H23" s="12"/>
      <c r="I23" s="84" t="e">
        <f t="shared" si="3"/>
        <v>#DIV/0!</v>
      </c>
      <c r="J23" s="60">
        <v>0</v>
      </c>
      <c r="K23" s="13">
        <v>0</v>
      </c>
      <c r="L23" s="13"/>
      <c r="M23" s="73"/>
      <c r="N23" s="14">
        <v>0</v>
      </c>
      <c r="O23" s="59"/>
      <c r="P23" s="8"/>
      <c r="Q23" s="109" t="e">
        <f t="shared" si="5"/>
        <v>#DIV/0!</v>
      </c>
    </row>
    <row r="24" spans="1:17" ht="12">
      <c r="A24" s="14" t="s">
        <v>20</v>
      </c>
      <c r="B24" s="23">
        <v>0</v>
      </c>
      <c r="C24" s="31">
        <v>0</v>
      </c>
      <c r="D24" s="31">
        <v>0</v>
      </c>
      <c r="E24" s="96" t="s">
        <v>39</v>
      </c>
      <c r="F24" s="23">
        <v>109755</v>
      </c>
      <c r="G24" s="23">
        <v>0</v>
      </c>
      <c r="H24" s="23">
        <v>0</v>
      </c>
      <c r="I24" s="85" t="s">
        <v>37</v>
      </c>
      <c r="J24" s="53">
        <v>0</v>
      </c>
      <c r="K24" s="31">
        <v>0</v>
      </c>
      <c r="L24" s="31">
        <v>0</v>
      </c>
      <c r="M24" s="74" t="s">
        <v>38</v>
      </c>
      <c r="N24" s="26">
        <v>0</v>
      </c>
      <c r="O24" s="58">
        <v>0</v>
      </c>
      <c r="P24" s="8">
        <v>0</v>
      </c>
      <c r="Q24" s="110" t="s">
        <v>38</v>
      </c>
    </row>
    <row r="25" spans="1:17" s="35" customFormat="1" ht="12">
      <c r="A25" s="33" t="s">
        <v>3</v>
      </c>
      <c r="B25" s="34">
        <f aca="true" t="shared" si="7" ref="B25:B53">F25+J25+N25</f>
        <v>1869379</v>
      </c>
      <c r="C25" s="36">
        <f aca="true" t="shared" si="8" ref="C25:D53">G25+O25+K25</f>
        <v>1833108</v>
      </c>
      <c r="D25" s="36">
        <f t="shared" si="8"/>
        <v>1438268</v>
      </c>
      <c r="E25" s="92">
        <f t="shared" si="4"/>
        <v>78.4606253423148</v>
      </c>
      <c r="F25" s="33">
        <f>SUM(F26+F27+F28+F29)</f>
        <v>1601219</v>
      </c>
      <c r="G25" s="33">
        <f>SUM(G26+G27+G28+G29)</f>
        <v>1564948</v>
      </c>
      <c r="H25" s="33">
        <f>SUM(H26+H27+H28+H29)</f>
        <v>1193541</v>
      </c>
      <c r="I25" s="99">
        <f t="shared" si="3"/>
        <v>76.26713475463721</v>
      </c>
      <c r="J25" s="38">
        <f>SUM(J26+J27+J28+J29)</f>
        <v>0</v>
      </c>
      <c r="K25" s="38">
        <f>SUM(K26+K27+K28+K29)</f>
        <v>0</v>
      </c>
      <c r="L25" s="33">
        <f>SUM(L26+L27+L28+L29)</f>
        <v>0</v>
      </c>
      <c r="M25" s="75" t="s">
        <v>38</v>
      </c>
      <c r="N25" s="38">
        <f>SUM(N26+N27+N28)</f>
        <v>268160</v>
      </c>
      <c r="O25" s="33">
        <f>SUM(O26+O27+O28)</f>
        <v>268160</v>
      </c>
      <c r="P25" s="33">
        <f>SUM(P26+P27+P28+P29)</f>
        <v>244727</v>
      </c>
      <c r="Q25" s="108">
        <f t="shared" si="5"/>
        <v>91.26156026252983</v>
      </c>
    </row>
    <row r="26" spans="1:17" ht="12">
      <c r="A26" s="11" t="s">
        <v>13</v>
      </c>
      <c r="B26" s="22">
        <f t="shared" si="7"/>
        <v>1110610</v>
      </c>
      <c r="C26" s="25">
        <f t="shared" si="8"/>
        <v>1156907</v>
      </c>
      <c r="D26" s="25">
        <f t="shared" si="8"/>
        <v>1093014</v>
      </c>
      <c r="E26" s="90">
        <f t="shared" si="4"/>
        <v>94.47725703103188</v>
      </c>
      <c r="F26" s="23">
        <v>1110610</v>
      </c>
      <c r="G26" s="21">
        <f>885238+88811+182858</f>
        <v>1156907</v>
      </c>
      <c r="H26" s="25">
        <f>627830+44231+115956+228454+34095+42448</f>
        <v>1093014</v>
      </c>
      <c r="I26" s="83">
        <f t="shared" si="3"/>
        <v>94.47725703103188</v>
      </c>
      <c r="J26" s="44">
        <v>0</v>
      </c>
      <c r="K26" s="54">
        <v>0</v>
      </c>
      <c r="L26" s="61">
        <v>0</v>
      </c>
      <c r="M26" s="67" t="s">
        <v>38</v>
      </c>
      <c r="N26" s="44">
        <v>0</v>
      </c>
      <c r="O26" s="22">
        <v>0</v>
      </c>
      <c r="P26" s="8">
        <v>0</v>
      </c>
      <c r="Q26" s="107" t="s">
        <v>38</v>
      </c>
    </row>
    <row r="27" spans="1:17" ht="12">
      <c r="A27" s="14" t="s">
        <v>14</v>
      </c>
      <c r="B27" s="22">
        <f t="shared" si="7"/>
        <v>698769</v>
      </c>
      <c r="C27" s="23">
        <f t="shared" si="8"/>
        <v>595101</v>
      </c>
      <c r="D27" s="23">
        <f t="shared" si="8"/>
        <v>265539</v>
      </c>
      <c r="E27" s="90">
        <f t="shared" si="4"/>
        <v>44.62082906935125</v>
      </c>
      <c r="F27" s="23">
        <v>430609</v>
      </c>
      <c r="G27" s="22">
        <v>326941</v>
      </c>
      <c r="H27" s="23">
        <f>519+19588+705</f>
        <v>20812</v>
      </c>
      <c r="I27" s="84">
        <f t="shared" si="3"/>
        <v>6.365674540666359</v>
      </c>
      <c r="J27" s="8">
        <v>0</v>
      </c>
      <c r="K27" s="55">
        <v>0</v>
      </c>
      <c r="L27" s="62">
        <v>0</v>
      </c>
      <c r="M27" s="68" t="s">
        <v>38</v>
      </c>
      <c r="N27" s="48">
        <v>268160</v>
      </c>
      <c r="O27" s="22">
        <f>267160+1000</f>
        <v>268160</v>
      </c>
      <c r="P27" s="8">
        <f>232567+11160+1000</f>
        <v>244727</v>
      </c>
      <c r="Q27" s="105">
        <f t="shared" si="5"/>
        <v>91.26156026252983</v>
      </c>
    </row>
    <row r="28" spans="1:17" ht="12">
      <c r="A28" s="14" t="s">
        <v>15</v>
      </c>
      <c r="B28" s="22">
        <f t="shared" si="7"/>
        <v>60000</v>
      </c>
      <c r="C28" s="31">
        <f t="shared" si="8"/>
        <v>81100</v>
      </c>
      <c r="D28" s="31">
        <f t="shared" si="8"/>
        <v>79715</v>
      </c>
      <c r="E28" s="90">
        <f t="shared" si="4"/>
        <v>98.29223181257707</v>
      </c>
      <c r="F28" s="23">
        <v>60000</v>
      </c>
      <c r="G28" s="22">
        <v>81100</v>
      </c>
      <c r="H28" s="23">
        <f>49076+30639</f>
        <v>79715</v>
      </c>
      <c r="I28" s="86">
        <f t="shared" si="3"/>
        <v>98.29223181257707</v>
      </c>
      <c r="J28" s="45">
        <v>0</v>
      </c>
      <c r="K28" s="55">
        <v>0</v>
      </c>
      <c r="L28" s="62">
        <v>0</v>
      </c>
      <c r="M28" s="69" t="s">
        <v>38</v>
      </c>
      <c r="N28" s="45">
        <v>0</v>
      </c>
      <c r="O28" s="22">
        <v>0</v>
      </c>
      <c r="P28" s="8">
        <v>0</v>
      </c>
      <c r="Q28" s="110" t="s">
        <v>38</v>
      </c>
    </row>
    <row r="29" spans="1:17" ht="12" hidden="1">
      <c r="A29" s="14" t="s">
        <v>17</v>
      </c>
      <c r="B29" s="10">
        <f t="shared" si="7"/>
        <v>0</v>
      </c>
      <c r="C29" s="28">
        <f t="shared" si="8"/>
        <v>0</v>
      </c>
      <c r="D29" s="28">
        <f t="shared" si="8"/>
        <v>0</v>
      </c>
      <c r="E29" s="90" t="e">
        <f t="shared" si="4"/>
        <v>#DIV/0!</v>
      </c>
      <c r="G29" s="12">
        <v>0</v>
      </c>
      <c r="H29" s="12">
        <v>0</v>
      </c>
      <c r="I29" s="82" t="e">
        <f t="shared" si="3"/>
        <v>#DIV/0!</v>
      </c>
      <c r="K29" s="13">
        <v>0</v>
      </c>
      <c r="L29" s="60"/>
      <c r="M29" s="60"/>
      <c r="N29" s="8"/>
      <c r="O29" s="14"/>
      <c r="P29" s="8"/>
      <c r="Q29" s="105" t="e">
        <f t="shared" si="5"/>
        <v>#DIV/0!</v>
      </c>
    </row>
    <row r="30" spans="1:17" s="35" customFormat="1" ht="12">
      <c r="A30" s="33" t="s">
        <v>4</v>
      </c>
      <c r="B30" s="34">
        <f t="shared" si="7"/>
        <v>2251515</v>
      </c>
      <c r="C30" s="36">
        <f t="shared" si="8"/>
        <v>2795974</v>
      </c>
      <c r="D30" s="36">
        <f t="shared" si="8"/>
        <v>2569050</v>
      </c>
      <c r="E30" s="92">
        <f t="shared" si="4"/>
        <v>91.88390163857032</v>
      </c>
      <c r="F30" s="33">
        <f aca="true" t="shared" si="9" ref="F30:O30">SUM(F31+F32+F33+F35)</f>
        <v>1667583</v>
      </c>
      <c r="G30" s="33">
        <f t="shared" si="9"/>
        <v>2216897</v>
      </c>
      <c r="H30" s="33">
        <f>SUM(H31+H32+H33+H35)</f>
        <v>2049350</v>
      </c>
      <c r="I30" s="81">
        <f t="shared" si="3"/>
        <v>92.44227404340391</v>
      </c>
      <c r="J30" s="33">
        <f t="shared" si="9"/>
        <v>13910</v>
      </c>
      <c r="K30" s="33">
        <f t="shared" si="9"/>
        <v>13910</v>
      </c>
      <c r="L30" s="33">
        <f>SUM(L31+L32+L33+L34)</f>
        <v>12558</v>
      </c>
      <c r="M30" s="100">
        <f>L30/K30*100</f>
        <v>90.28037383177569</v>
      </c>
      <c r="N30" s="33">
        <f t="shared" si="9"/>
        <v>570022</v>
      </c>
      <c r="O30" s="33">
        <f t="shared" si="9"/>
        <v>565167</v>
      </c>
      <c r="P30" s="33">
        <f>SUM(P31+P32+P33+P34)</f>
        <v>507142</v>
      </c>
      <c r="Q30" s="104">
        <f t="shared" si="5"/>
        <v>89.73312312997751</v>
      </c>
    </row>
    <row r="31" spans="1:17" ht="12">
      <c r="A31" s="11" t="s">
        <v>13</v>
      </c>
      <c r="B31" s="22">
        <f t="shared" si="7"/>
        <v>793743</v>
      </c>
      <c r="C31" s="25">
        <f t="shared" si="8"/>
        <v>1063427</v>
      </c>
      <c r="D31" s="25">
        <f t="shared" si="8"/>
        <v>1015739</v>
      </c>
      <c r="E31" s="93">
        <f t="shared" si="4"/>
        <v>95.51563012787902</v>
      </c>
      <c r="F31" s="48">
        <v>487953</v>
      </c>
      <c r="G31" s="21">
        <f>561939+72381+115613</f>
        <v>749933</v>
      </c>
      <c r="H31" s="25">
        <f>41420+4430+8265+33705+1342+6310+263542+9286+50213-35+49957+9075+122408+3628+22246+914+28864+1810+5730+51299+744+9518</f>
        <v>724671</v>
      </c>
      <c r="I31" s="83">
        <f t="shared" si="3"/>
        <v>96.63143240796178</v>
      </c>
      <c r="J31" s="62">
        <v>500</v>
      </c>
      <c r="K31" s="24">
        <f>454+35+11</f>
        <v>500</v>
      </c>
      <c r="L31" s="46">
        <v>52</v>
      </c>
      <c r="M31" s="83">
        <f>L31/K31*100</f>
        <v>10.4</v>
      </c>
      <c r="N31" s="48">
        <v>305290</v>
      </c>
      <c r="O31" s="22">
        <f>251811+15244+45939</f>
        <v>312994</v>
      </c>
      <c r="P31" s="8">
        <f>176602+9270+32291+26840+712+5016+29406+5255+5624</f>
        <v>291016</v>
      </c>
      <c r="Q31" s="103">
        <f t="shared" si="5"/>
        <v>92.97814015604133</v>
      </c>
    </row>
    <row r="32" spans="1:17" ht="12">
      <c r="A32" s="14" t="s">
        <v>14</v>
      </c>
      <c r="B32" s="22">
        <f t="shared" si="7"/>
        <v>1127200</v>
      </c>
      <c r="C32" s="23">
        <f t="shared" si="8"/>
        <v>1660755</v>
      </c>
      <c r="D32" s="23">
        <f t="shared" si="8"/>
        <v>1493266</v>
      </c>
      <c r="E32" s="94">
        <f t="shared" si="4"/>
        <v>89.9148881081195</v>
      </c>
      <c r="F32" s="48">
        <v>849058</v>
      </c>
      <c r="G32" s="63">
        <f>974969+4085+416118</f>
        <v>1395172</v>
      </c>
      <c r="H32" s="87">
        <f>85845+3597+160173+85+11264+115078+3308+23+57843+110122+320582+396714</f>
        <v>1264634</v>
      </c>
      <c r="I32" s="84">
        <f t="shared" si="3"/>
        <v>90.64359089775311</v>
      </c>
      <c r="J32" s="62">
        <v>13410</v>
      </c>
      <c r="K32" s="24">
        <v>13410</v>
      </c>
      <c r="L32" s="24">
        <f>4479+8027</f>
        <v>12506</v>
      </c>
      <c r="M32" s="84">
        <f>L32/K32*100</f>
        <v>93.25876211782253</v>
      </c>
      <c r="N32" s="48">
        <v>264732</v>
      </c>
      <c r="O32" s="22">
        <f>251809+364</f>
        <v>252173</v>
      </c>
      <c r="P32" s="8">
        <f>186799+325+8097+628+20255+22</f>
        <v>216126</v>
      </c>
      <c r="Q32" s="105">
        <f t="shared" si="5"/>
        <v>85.70544824386434</v>
      </c>
    </row>
    <row r="33" spans="1:17" ht="12">
      <c r="A33" s="14" t="s">
        <v>15</v>
      </c>
      <c r="B33" s="22">
        <f t="shared" si="7"/>
        <v>74792</v>
      </c>
      <c r="C33" s="31">
        <f t="shared" si="8"/>
        <v>71792</v>
      </c>
      <c r="D33" s="31">
        <f t="shared" si="8"/>
        <v>60045</v>
      </c>
      <c r="E33" s="94">
        <f t="shared" si="4"/>
        <v>83.63745264096278</v>
      </c>
      <c r="F33" s="48">
        <v>74792</v>
      </c>
      <c r="G33" s="22">
        <v>71792</v>
      </c>
      <c r="H33" s="23">
        <f>58059+1986</f>
        <v>60045</v>
      </c>
      <c r="I33" s="84">
        <f t="shared" si="3"/>
        <v>83.63745264096278</v>
      </c>
      <c r="J33" s="62">
        <v>0</v>
      </c>
      <c r="K33" s="24">
        <v>0</v>
      </c>
      <c r="L33" s="24">
        <v>0</v>
      </c>
      <c r="M33" s="68" t="s">
        <v>38</v>
      </c>
      <c r="N33" s="48">
        <v>0</v>
      </c>
      <c r="O33" s="22">
        <v>0</v>
      </c>
      <c r="P33" s="8">
        <v>0</v>
      </c>
      <c r="Q33" s="109" t="s">
        <v>38</v>
      </c>
    </row>
    <row r="34" spans="1:17" ht="12" hidden="1">
      <c r="A34" s="14" t="s">
        <v>17</v>
      </c>
      <c r="B34" s="10">
        <f t="shared" si="7"/>
        <v>0</v>
      </c>
      <c r="C34" s="28">
        <f t="shared" si="8"/>
        <v>0</v>
      </c>
      <c r="D34" s="28">
        <f t="shared" si="8"/>
        <v>0</v>
      </c>
      <c r="E34" s="94" t="e">
        <f t="shared" si="4"/>
        <v>#DIV/0!</v>
      </c>
      <c r="G34" s="14"/>
      <c r="H34" s="12"/>
      <c r="I34" s="84" t="e">
        <f t="shared" si="3"/>
        <v>#DIV/0!</v>
      </c>
      <c r="K34" s="13">
        <v>0</v>
      </c>
      <c r="L34" s="13"/>
      <c r="M34" s="76"/>
      <c r="N34" s="8"/>
      <c r="O34" s="14">
        <v>0</v>
      </c>
      <c r="P34" s="8"/>
      <c r="Q34" s="109" t="e">
        <f t="shared" si="5"/>
        <v>#DIV/0!</v>
      </c>
    </row>
    <row r="35" spans="1:17" ht="12">
      <c r="A35" s="14" t="s">
        <v>20</v>
      </c>
      <c r="B35" s="22">
        <f>F35+J35+N35</f>
        <v>255780</v>
      </c>
      <c r="C35" s="31">
        <f>G35+O35+K35</f>
        <v>0</v>
      </c>
      <c r="D35" s="31">
        <f>H35+P35+L35</f>
        <v>0</v>
      </c>
      <c r="E35" s="97" t="s">
        <v>38</v>
      </c>
      <c r="F35" s="2">
        <v>255780</v>
      </c>
      <c r="G35" s="15">
        <v>0</v>
      </c>
      <c r="H35" s="18">
        <v>0</v>
      </c>
      <c r="I35" s="85" t="s">
        <v>37</v>
      </c>
      <c r="J35" s="2">
        <v>0</v>
      </c>
      <c r="K35" s="13">
        <v>0</v>
      </c>
      <c r="L35" s="20">
        <v>0</v>
      </c>
      <c r="M35" s="77" t="s">
        <v>38</v>
      </c>
      <c r="N35" s="8">
        <v>0</v>
      </c>
      <c r="O35" s="14">
        <v>0</v>
      </c>
      <c r="P35" s="8">
        <v>0</v>
      </c>
      <c r="Q35" s="110" t="s">
        <v>38</v>
      </c>
    </row>
    <row r="36" spans="1:17" s="35" customFormat="1" ht="12">
      <c r="A36" s="33" t="s">
        <v>5</v>
      </c>
      <c r="B36" s="34">
        <f t="shared" si="7"/>
        <v>11542174</v>
      </c>
      <c r="C36" s="36">
        <f t="shared" si="8"/>
        <v>11483285</v>
      </c>
      <c r="D36" s="36">
        <f t="shared" si="8"/>
        <v>10494106</v>
      </c>
      <c r="E36" s="92">
        <f t="shared" si="4"/>
        <v>91.38592310475617</v>
      </c>
      <c r="F36" s="33">
        <f aca="true" t="shared" si="10" ref="F36:P36">SUM(F37+F38+F39+F40)</f>
        <v>0</v>
      </c>
      <c r="G36" s="33">
        <f t="shared" si="10"/>
        <v>0</v>
      </c>
      <c r="H36" s="33">
        <f>SUM(H37+H38+H39+H40)</f>
        <v>0</v>
      </c>
      <c r="I36" s="98" t="s">
        <v>37</v>
      </c>
      <c r="J36" s="33">
        <f t="shared" si="10"/>
        <v>0</v>
      </c>
      <c r="K36" s="33">
        <f t="shared" si="10"/>
        <v>0</v>
      </c>
      <c r="L36" s="33">
        <f t="shared" si="10"/>
        <v>0</v>
      </c>
      <c r="M36" s="75" t="s">
        <v>38</v>
      </c>
      <c r="N36" s="33">
        <f t="shared" si="10"/>
        <v>11542174</v>
      </c>
      <c r="O36" s="33">
        <f t="shared" si="10"/>
        <v>11483285</v>
      </c>
      <c r="P36" s="33">
        <f t="shared" si="10"/>
        <v>10494106</v>
      </c>
      <c r="Q36" s="108">
        <f t="shared" si="5"/>
        <v>91.38592310475617</v>
      </c>
    </row>
    <row r="37" spans="1:17" ht="12">
      <c r="A37" s="11" t="s">
        <v>13</v>
      </c>
      <c r="B37" s="22">
        <f t="shared" si="7"/>
        <v>2255660</v>
      </c>
      <c r="C37" s="21">
        <f t="shared" si="8"/>
        <v>2239412</v>
      </c>
      <c r="D37" s="21">
        <f t="shared" si="8"/>
        <v>2082010</v>
      </c>
      <c r="E37" s="90">
        <f t="shared" si="4"/>
        <v>92.97127996098976</v>
      </c>
      <c r="F37" s="29">
        <v>0</v>
      </c>
      <c r="G37" s="23">
        <v>0</v>
      </c>
      <c r="H37" s="23">
        <v>0</v>
      </c>
      <c r="I37" s="88" t="s">
        <v>37</v>
      </c>
      <c r="J37" s="44">
        <v>0</v>
      </c>
      <c r="K37" s="24">
        <v>0</v>
      </c>
      <c r="L37" s="24">
        <v>0</v>
      </c>
      <c r="M37" s="72" t="s">
        <v>38</v>
      </c>
      <c r="N37" s="23">
        <v>2255660</v>
      </c>
      <c r="O37" s="22">
        <f>1794607+94824+349981</f>
        <v>2239412</v>
      </c>
      <c r="P37" s="8">
        <f>52631+8132+9965+44397+1382+12701+201598+25043+37875+273163+10629+50726+930788+37581+177920+168881+6894+31704</f>
        <v>2082010</v>
      </c>
      <c r="Q37" s="103">
        <f t="shared" si="5"/>
        <v>92.97127996098976</v>
      </c>
    </row>
    <row r="38" spans="1:17" ht="12">
      <c r="A38" s="14" t="s">
        <v>14</v>
      </c>
      <c r="B38" s="22">
        <f t="shared" si="7"/>
        <v>4157570</v>
      </c>
      <c r="C38" s="22">
        <f t="shared" si="8"/>
        <v>4174763</v>
      </c>
      <c r="D38" s="22">
        <f t="shared" si="8"/>
        <v>3805598</v>
      </c>
      <c r="E38" s="90">
        <f t="shared" si="4"/>
        <v>91.15722257766488</v>
      </c>
      <c r="F38" s="14">
        <v>0</v>
      </c>
      <c r="G38" s="23">
        <v>0</v>
      </c>
      <c r="H38" s="23">
        <v>0</v>
      </c>
      <c r="I38" s="89" t="s">
        <v>37</v>
      </c>
      <c r="J38" s="8">
        <v>0</v>
      </c>
      <c r="K38" s="24">
        <v>0</v>
      </c>
      <c r="L38" s="24">
        <v>0</v>
      </c>
      <c r="M38" s="72" t="s">
        <v>38</v>
      </c>
      <c r="N38" s="23">
        <v>4157570</v>
      </c>
      <c r="O38" s="22">
        <f>3893473+260322+20968</f>
        <v>4174763</v>
      </c>
      <c r="P38" s="8">
        <f>22933+10301+8969+127+20968+671666+417013+178195+204830+285807+709+1193337+19538+770805+400</f>
        <v>3805598</v>
      </c>
      <c r="Q38" s="105">
        <f t="shared" si="5"/>
        <v>91.15722257766488</v>
      </c>
    </row>
    <row r="39" spans="1:17" ht="12">
      <c r="A39" s="14" t="s">
        <v>15</v>
      </c>
      <c r="B39" s="22">
        <f t="shared" si="7"/>
        <v>5128944</v>
      </c>
      <c r="C39" s="26">
        <f t="shared" si="8"/>
        <v>5069110</v>
      </c>
      <c r="D39" s="26">
        <f t="shared" si="8"/>
        <v>4606498</v>
      </c>
      <c r="E39" s="90">
        <f t="shared" si="4"/>
        <v>90.87390094119085</v>
      </c>
      <c r="F39" s="15">
        <v>0</v>
      </c>
      <c r="G39" s="23">
        <v>0</v>
      </c>
      <c r="H39" s="23">
        <v>0</v>
      </c>
      <c r="I39" s="85" t="s">
        <v>37</v>
      </c>
      <c r="J39" s="45">
        <v>0</v>
      </c>
      <c r="K39" s="24">
        <v>0</v>
      </c>
      <c r="L39" s="24">
        <v>0</v>
      </c>
      <c r="M39" s="72" t="s">
        <v>38</v>
      </c>
      <c r="N39" s="23">
        <v>5128944</v>
      </c>
      <c r="O39" s="22">
        <v>5069110</v>
      </c>
      <c r="P39" s="8">
        <f>84161+756916+1358862+54000+118479+117815+1983525+132740</f>
        <v>4606498</v>
      </c>
      <c r="Q39" s="106">
        <f t="shared" si="5"/>
        <v>90.87390094119085</v>
      </c>
    </row>
    <row r="40" spans="1:17" ht="12" hidden="1">
      <c r="A40" s="14" t="s">
        <v>17</v>
      </c>
      <c r="B40" s="10">
        <f t="shared" si="7"/>
        <v>0</v>
      </c>
      <c r="C40" s="28">
        <f t="shared" si="8"/>
        <v>0</v>
      </c>
      <c r="D40" s="28">
        <f t="shared" si="8"/>
        <v>0</v>
      </c>
      <c r="E40" s="90" t="e">
        <f t="shared" si="4"/>
        <v>#DIV/0!</v>
      </c>
      <c r="G40" s="12">
        <v>0</v>
      </c>
      <c r="H40" s="12">
        <v>0</v>
      </c>
      <c r="I40" s="82" t="e">
        <f t="shared" si="3"/>
        <v>#DIV/0!</v>
      </c>
      <c r="K40" s="13">
        <v>0</v>
      </c>
      <c r="L40" s="60"/>
      <c r="M40" s="60"/>
      <c r="N40" s="8"/>
      <c r="O40" s="14">
        <v>0</v>
      </c>
      <c r="P40" s="8"/>
      <c r="Q40" s="105" t="e">
        <f t="shared" si="5"/>
        <v>#DIV/0!</v>
      </c>
    </row>
    <row r="41" spans="1:17" s="35" customFormat="1" ht="12">
      <c r="A41" s="33" t="s">
        <v>6</v>
      </c>
      <c r="B41" s="34">
        <f t="shared" si="7"/>
        <v>6820816</v>
      </c>
      <c r="C41" s="36">
        <f t="shared" si="8"/>
        <v>7166545</v>
      </c>
      <c r="D41" s="36">
        <f t="shared" si="8"/>
        <v>6785785</v>
      </c>
      <c r="E41" s="92">
        <f t="shared" si="4"/>
        <v>94.68697956965316</v>
      </c>
      <c r="F41" s="33">
        <f aca="true" t="shared" si="11" ref="F41:P41">SUM(F42+F43+F44+F45)</f>
        <v>2130526</v>
      </c>
      <c r="G41" s="33">
        <f t="shared" si="11"/>
        <v>2499728</v>
      </c>
      <c r="H41" s="33">
        <f>SUM(H42+H43+H44+H45)</f>
        <v>2340771</v>
      </c>
      <c r="I41" s="81">
        <f t="shared" si="3"/>
        <v>93.64102814386204</v>
      </c>
      <c r="J41" s="33">
        <f t="shared" si="11"/>
        <v>661330</v>
      </c>
      <c r="K41" s="33">
        <f t="shared" si="11"/>
        <v>662930</v>
      </c>
      <c r="L41" s="33">
        <f t="shared" si="11"/>
        <v>566573</v>
      </c>
      <c r="M41" s="100">
        <f>L41/K41*100</f>
        <v>85.46498121973663</v>
      </c>
      <c r="N41" s="33">
        <f t="shared" si="11"/>
        <v>4028960</v>
      </c>
      <c r="O41" s="33">
        <f t="shared" si="11"/>
        <v>4003887</v>
      </c>
      <c r="P41" s="33">
        <f t="shared" si="11"/>
        <v>3878441</v>
      </c>
      <c r="Q41" s="104">
        <f t="shared" si="5"/>
        <v>96.86689459517713</v>
      </c>
    </row>
    <row r="42" spans="1:17" ht="12">
      <c r="A42" s="11" t="s">
        <v>13</v>
      </c>
      <c r="B42" s="22">
        <f t="shared" si="7"/>
        <v>2967899</v>
      </c>
      <c r="C42" s="25">
        <f t="shared" si="8"/>
        <v>3276933</v>
      </c>
      <c r="D42" s="25">
        <f t="shared" si="8"/>
        <v>3099829</v>
      </c>
      <c r="E42" s="90">
        <f t="shared" si="4"/>
        <v>94.59543420631425</v>
      </c>
      <c r="F42" s="23">
        <v>1494699</v>
      </c>
      <c r="G42" s="23">
        <f>1409384+110535+269575</f>
        <v>1789494</v>
      </c>
      <c r="H42" s="23">
        <f>1333311+103158+249435+3</f>
        <v>1685907</v>
      </c>
      <c r="I42" s="83">
        <f t="shared" si="3"/>
        <v>94.2113804237399</v>
      </c>
      <c r="J42" s="62">
        <v>46480</v>
      </c>
      <c r="K42" s="24">
        <f>39002+198+7280</f>
        <v>46480</v>
      </c>
      <c r="L42" s="24">
        <f>38102+197+7006-2</f>
        <v>45303</v>
      </c>
      <c r="M42" s="83">
        <f>L42/K42*100</f>
        <v>97.46772805507746</v>
      </c>
      <c r="N42" s="48">
        <v>1426720</v>
      </c>
      <c r="O42" s="22">
        <f>1062263+163851+214845</f>
        <v>1440959</v>
      </c>
      <c r="P42" s="8">
        <f>6146+442+239292+7594+44117+340925+31808+76268+106049+2841+19259+21997+1167+4046+122782+3002+21771+33587+1693+6168+166046+76233+35383+3</f>
        <v>1368619</v>
      </c>
      <c r="Q42" s="103">
        <f t="shared" si="5"/>
        <v>94.97973224776</v>
      </c>
    </row>
    <row r="43" spans="1:17" ht="12">
      <c r="A43" s="14" t="s">
        <v>14</v>
      </c>
      <c r="B43" s="22">
        <f t="shared" si="7"/>
        <v>2381507</v>
      </c>
      <c r="C43" s="23">
        <f t="shared" si="8"/>
        <v>2447485</v>
      </c>
      <c r="D43" s="23">
        <f t="shared" si="8"/>
        <v>2335739</v>
      </c>
      <c r="E43" s="90">
        <f t="shared" si="4"/>
        <v>95.43425189531294</v>
      </c>
      <c r="F43" s="23">
        <v>606627</v>
      </c>
      <c r="G43" s="23">
        <f>332432+8272+331248</f>
        <v>671952</v>
      </c>
      <c r="H43" s="23">
        <f>308236+7617+320922</f>
        <v>636775</v>
      </c>
      <c r="I43" s="84">
        <f t="shared" si="3"/>
        <v>94.7649534490559</v>
      </c>
      <c r="J43" s="62">
        <v>501800</v>
      </c>
      <c r="K43" s="24">
        <f>478339+10631</f>
        <v>488970</v>
      </c>
      <c r="L43" s="24">
        <f>455424+10021</f>
        <v>465445</v>
      </c>
      <c r="M43" s="84">
        <f>L43/K43*100</f>
        <v>95.18886639262124</v>
      </c>
      <c r="N43" s="48">
        <v>1273080</v>
      </c>
      <c r="O43" s="22">
        <f>982844+1320+302399</f>
        <v>1286563</v>
      </c>
      <c r="P43" s="8">
        <f>939686-821+294654</f>
        <v>1233519</v>
      </c>
      <c r="Q43" s="105">
        <f t="shared" si="5"/>
        <v>95.87707714274389</v>
      </c>
    </row>
    <row r="44" spans="1:17" ht="12">
      <c r="A44" s="14" t="s">
        <v>15</v>
      </c>
      <c r="B44" s="22">
        <f t="shared" si="7"/>
        <v>1471410</v>
      </c>
      <c r="C44" s="31">
        <f t="shared" si="8"/>
        <v>1442127</v>
      </c>
      <c r="D44" s="31">
        <f t="shared" si="8"/>
        <v>1350217</v>
      </c>
      <c r="E44" s="90">
        <f t="shared" si="4"/>
        <v>93.62677489569226</v>
      </c>
      <c r="F44" s="23">
        <v>29200</v>
      </c>
      <c r="G44" s="23">
        <v>38282</v>
      </c>
      <c r="H44" s="23">
        <v>18089</v>
      </c>
      <c r="I44" s="86">
        <f t="shared" si="3"/>
        <v>47.25197220625882</v>
      </c>
      <c r="J44" s="62">
        <v>113050</v>
      </c>
      <c r="K44" s="24">
        <v>127480</v>
      </c>
      <c r="L44" s="24">
        <v>55825</v>
      </c>
      <c r="M44" s="86">
        <f>L44/K44*100</f>
        <v>43.791182930655786</v>
      </c>
      <c r="N44" s="48">
        <v>1329160</v>
      </c>
      <c r="O44" s="22">
        <v>1276365</v>
      </c>
      <c r="P44" s="8">
        <v>1276303</v>
      </c>
      <c r="Q44" s="106">
        <f t="shared" si="5"/>
        <v>99.99514245533213</v>
      </c>
    </row>
    <row r="45" spans="1:17" ht="12" hidden="1">
      <c r="A45" s="14" t="s">
        <v>17</v>
      </c>
      <c r="B45" s="10">
        <f t="shared" si="7"/>
        <v>0</v>
      </c>
      <c r="C45" s="28">
        <f t="shared" si="8"/>
        <v>0</v>
      </c>
      <c r="D45" s="28">
        <f t="shared" si="8"/>
        <v>0</v>
      </c>
      <c r="E45" s="90" t="e">
        <f t="shared" si="4"/>
        <v>#DIV/0!</v>
      </c>
      <c r="G45" s="12">
        <v>0</v>
      </c>
      <c r="H45" s="12">
        <v>0</v>
      </c>
      <c r="I45" s="82" t="e">
        <f t="shared" si="3"/>
        <v>#DIV/0!</v>
      </c>
      <c r="K45" s="13">
        <v>0</v>
      </c>
      <c r="L45" s="60"/>
      <c r="M45" s="60"/>
      <c r="N45" s="8"/>
      <c r="O45" s="14">
        <v>0</v>
      </c>
      <c r="P45" s="8"/>
      <c r="Q45" s="105" t="e">
        <f t="shared" si="5"/>
        <v>#DIV/0!</v>
      </c>
    </row>
    <row r="46" spans="1:17" s="35" customFormat="1" ht="12">
      <c r="A46" s="33" t="s">
        <v>9</v>
      </c>
      <c r="B46" s="34">
        <f t="shared" si="7"/>
        <v>1931361</v>
      </c>
      <c r="C46" s="36">
        <f t="shared" si="8"/>
        <v>2169622</v>
      </c>
      <c r="D46" s="36">
        <f t="shared" si="8"/>
        <v>1579901</v>
      </c>
      <c r="E46" s="92">
        <f t="shared" si="4"/>
        <v>72.81918232761284</v>
      </c>
      <c r="F46" s="33">
        <f aca="true" t="shared" si="12" ref="F46:P46">SUM(F47+F48+F49+F50)</f>
        <v>0</v>
      </c>
      <c r="G46" s="33">
        <f t="shared" si="12"/>
        <v>234740</v>
      </c>
      <c r="H46" s="33">
        <f>SUM(H47+H48+H49+H50)</f>
        <v>234739</v>
      </c>
      <c r="I46" s="81">
        <f t="shared" si="3"/>
        <v>99.99957399676238</v>
      </c>
      <c r="J46" s="33">
        <f t="shared" si="12"/>
        <v>0</v>
      </c>
      <c r="K46" s="33">
        <f t="shared" si="12"/>
        <v>0</v>
      </c>
      <c r="L46" s="33">
        <f t="shared" si="12"/>
        <v>0</v>
      </c>
      <c r="M46" s="66" t="s">
        <v>38</v>
      </c>
      <c r="N46" s="33">
        <f t="shared" si="12"/>
        <v>1931361</v>
      </c>
      <c r="O46" s="33">
        <f t="shared" si="12"/>
        <v>1934882</v>
      </c>
      <c r="P46" s="33">
        <f t="shared" si="12"/>
        <v>1345162</v>
      </c>
      <c r="Q46" s="104">
        <f t="shared" si="5"/>
        <v>69.52165558416482</v>
      </c>
    </row>
    <row r="47" spans="1:17" ht="12">
      <c r="A47" s="11" t="s">
        <v>13</v>
      </c>
      <c r="B47" s="22">
        <f t="shared" si="7"/>
        <v>650520</v>
      </c>
      <c r="C47" s="21">
        <f t="shared" si="8"/>
        <v>659227</v>
      </c>
      <c r="D47" s="21">
        <f t="shared" si="8"/>
        <v>601387</v>
      </c>
      <c r="E47" s="93">
        <f t="shared" si="4"/>
        <v>91.22608752372096</v>
      </c>
      <c r="F47" s="44">
        <v>0</v>
      </c>
      <c r="G47" s="21">
        <v>0</v>
      </c>
      <c r="H47" s="25">
        <v>0</v>
      </c>
      <c r="I47" s="88" t="s">
        <v>37</v>
      </c>
      <c r="J47" s="44">
        <v>0</v>
      </c>
      <c r="K47" s="24">
        <v>0</v>
      </c>
      <c r="L47" s="24"/>
      <c r="M47" s="72" t="s">
        <v>38</v>
      </c>
      <c r="N47" s="25">
        <v>650520</v>
      </c>
      <c r="O47" s="21">
        <f>538407+22182+98638</f>
        <v>659227</v>
      </c>
      <c r="P47" s="8">
        <f>488529+21532+91325+1</f>
        <v>601387</v>
      </c>
      <c r="Q47" s="103">
        <f t="shared" si="5"/>
        <v>91.22608752372096</v>
      </c>
    </row>
    <row r="48" spans="1:17" ht="12">
      <c r="A48" s="14" t="s">
        <v>14</v>
      </c>
      <c r="B48" s="22">
        <f t="shared" si="7"/>
        <v>978841</v>
      </c>
      <c r="C48" s="22">
        <f t="shared" si="8"/>
        <v>1200395</v>
      </c>
      <c r="D48" s="22">
        <f t="shared" si="8"/>
        <v>669443</v>
      </c>
      <c r="E48" s="94">
        <f t="shared" si="4"/>
        <v>55.76855951582604</v>
      </c>
      <c r="F48" s="8">
        <v>0</v>
      </c>
      <c r="G48" s="22">
        <v>234740</v>
      </c>
      <c r="H48" s="23">
        <v>234739</v>
      </c>
      <c r="I48" s="84">
        <f t="shared" si="3"/>
        <v>99.99957399676238</v>
      </c>
      <c r="J48" s="8">
        <v>0</v>
      </c>
      <c r="K48" s="24">
        <v>0</v>
      </c>
      <c r="L48" s="24"/>
      <c r="M48" s="72" t="s">
        <v>38</v>
      </c>
      <c r="N48" s="23">
        <v>978841</v>
      </c>
      <c r="O48" s="22">
        <f>928055+1800+35800</f>
        <v>965655</v>
      </c>
      <c r="P48" s="8">
        <f>3208+110324+177278+50942+540+26087+30794+35531</f>
        <v>434704</v>
      </c>
      <c r="Q48" s="105">
        <f t="shared" si="5"/>
        <v>45.01649139703103</v>
      </c>
    </row>
    <row r="49" spans="1:17" ht="12">
      <c r="A49" s="14" t="s">
        <v>15</v>
      </c>
      <c r="B49" s="22">
        <f t="shared" si="7"/>
        <v>302000</v>
      </c>
      <c r="C49" s="26">
        <f t="shared" si="8"/>
        <v>310000</v>
      </c>
      <c r="D49" s="26">
        <f t="shared" si="8"/>
        <v>309071</v>
      </c>
      <c r="E49" s="95">
        <f t="shared" si="4"/>
        <v>99.70032258064516</v>
      </c>
      <c r="F49" s="45">
        <v>0</v>
      </c>
      <c r="G49" s="14">
        <v>0</v>
      </c>
      <c r="H49" s="12"/>
      <c r="I49" s="85" t="s">
        <v>37</v>
      </c>
      <c r="J49" s="45">
        <v>0</v>
      </c>
      <c r="K49" s="13">
        <v>0</v>
      </c>
      <c r="L49" s="13"/>
      <c r="M49" s="73" t="s">
        <v>38</v>
      </c>
      <c r="N49" s="12">
        <v>302000</v>
      </c>
      <c r="O49" s="14">
        <v>310000</v>
      </c>
      <c r="P49" s="8">
        <v>309071</v>
      </c>
      <c r="Q49" s="106">
        <f t="shared" si="5"/>
        <v>99.70032258064516</v>
      </c>
    </row>
    <row r="50" spans="1:17" ht="12" hidden="1">
      <c r="A50" s="15" t="s">
        <v>17</v>
      </c>
      <c r="B50" s="10">
        <f t="shared" si="7"/>
        <v>0</v>
      </c>
      <c r="C50" s="28">
        <f t="shared" si="8"/>
        <v>0</v>
      </c>
      <c r="D50" s="28">
        <f t="shared" si="8"/>
        <v>0</v>
      </c>
      <c r="E50" s="90" t="e">
        <f t="shared" si="4"/>
        <v>#DIV/0!</v>
      </c>
      <c r="G50" s="18">
        <v>0</v>
      </c>
      <c r="H50" s="18">
        <v>0</v>
      </c>
      <c r="I50" s="85" t="e">
        <f t="shared" si="3"/>
        <v>#DIV/0!</v>
      </c>
      <c r="K50" s="20">
        <v>0</v>
      </c>
      <c r="L50" s="60"/>
      <c r="M50" s="65"/>
      <c r="N50" s="8"/>
      <c r="O50" s="15"/>
      <c r="P50" s="8"/>
      <c r="Q50" s="105" t="e">
        <f t="shared" si="5"/>
        <v>#DIV/0!</v>
      </c>
    </row>
    <row r="51" spans="1:17" s="37" customFormat="1" ht="12">
      <c r="A51" s="33" t="s">
        <v>21</v>
      </c>
      <c r="B51" s="34">
        <f t="shared" si="7"/>
        <v>564302</v>
      </c>
      <c r="C51" s="36">
        <f t="shared" si="8"/>
        <v>322355</v>
      </c>
      <c r="D51" s="36">
        <f t="shared" si="8"/>
        <v>187563</v>
      </c>
      <c r="E51" s="92">
        <f t="shared" si="4"/>
        <v>58.18523056878286</v>
      </c>
      <c r="F51" s="33">
        <f>F52+F53</f>
        <v>0</v>
      </c>
      <c r="G51" s="33">
        <f>G52+G53</f>
        <v>0</v>
      </c>
      <c r="H51" s="33">
        <f>H52+H53</f>
        <v>0</v>
      </c>
      <c r="I51" s="88" t="s">
        <v>37</v>
      </c>
      <c r="J51" s="33">
        <v>0</v>
      </c>
      <c r="K51" s="33">
        <v>0</v>
      </c>
      <c r="L51" s="33">
        <v>0</v>
      </c>
      <c r="M51" s="66" t="s">
        <v>38</v>
      </c>
      <c r="N51" s="33">
        <f>N52+N53</f>
        <v>564302</v>
      </c>
      <c r="O51" s="33">
        <f>O52+O53</f>
        <v>322355</v>
      </c>
      <c r="P51" s="33">
        <f>SUM(P52+P53)</f>
        <v>187563</v>
      </c>
      <c r="Q51" s="104">
        <f t="shared" si="5"/>
        <v>58.18523056878286</v>
      </c>
    </row>
    <row r="52" spans="1:17" s="16" customFormat="1" ht="12">
      <c r="A52" s="21" t="s">
        <v>19</v>
      </c>
      <c r="B52" s="22">
        <f t="shared" si="7"/>
        <v>204000</v>
      </c>
      <c r="C52" s="21">
        <f t="shared" si="8"/>
        <v>204000</v>
      </c>
      <c r="D52" s="21">
        <f t="shared" si="8"/>
        <v>187563</v>
      </c>
      <c r="E52" s="93">
        <f t="shared" si="4"/>
        <v>91.94264705882354</v>
      </c>
      <c r="F52" s="52">
        <v>0</v>
      </c>
      <c r="G52" s="22">
        <v>0</v>
      </c>
      <c r="H52" s="23">
        <v>0</v>
      </c>
      <c r="I52" s="88" t="s">
        <v>37</v>
      </c>
      <c r="J52" s="52">
        <v>0</v>
      </c>
      <c r="K52" s="24">
        <v>0</v>
      </c>
      <c r="L52" s="24"/>
      <c r="M52" s="72" t="s">
        <v>38</v>
      </c>
      <c r="N52" s="23">
        <v>204000</v>
      </c>
      <c r="O52" s="22">
        <v>204000</v>
      </c>
      <c r="P52" s="48">
        <v>187563</v>
      </c>
      <c r="Q52" s="103">
        <f t="shared" si="5"/>
        <v>91.94264705882354</v>
      </c>
    </row>
    <row r="53" spans="1:17" s="16" customFormat="1" ht="12">
      <c r="A53" s="26" t="s">
        <v>20</v>
      </c>
      <c r="B53" s="22">
        <f t="shared" si="7"/>
        <v>360302</v>
      </c>
      <c r="C53" s="26">
        <f t="shared" si="8"/>
        <v>118355</v>
      </c>
      <c r="D53" s="26">
        <f t="shared" si="8"/>
        <v>0</v>
      </c>
      <c r="E53" s="95">
        <f t="shared" si="4"/>
        <v>0</v>
      </c>
      <c r="F53" s="53">
        <v>0</v>
      </c>
      <c r="G53" s="26">
        <v>0</v>
      </c>
      <c r="H53" s="31">
        <v>0</v>
      </c>
      <c r="I53" s="85" t="s">
        <v>37</v>
      </c>
      <c r="J53" s="53">
        <v>0</v>
      </c>
      <c r="K53" s="51">
        <v>0</v>
      </c>
      <c r="L53" s="51"/>
      <c r="M53" s="78" t="s">
        <v>38</v>
      </c>
      <c r="N53" s="31">
        <v>360302</v>
      </c>
      <c r="O53" s="26">
        <v>118355</v>
      </c>
      <c r="P53" s="111">
        <v>0</v>
      </c>
      <c r="Q53" s="106">
        <f t="shared" si="5"/>
        <v>0</v>
      </c>
    </row>
    <row r="54" spans="1:17" s="37" customFormat="1" ht="12">
      <c r="A54" s="38" t="s">
        <v>16</v>
      </c>
      <c r="B54" s="34"/>
      <c r="C54" s="39"/>
      <c r="D54" s="39"/>
      <c r="E54" s="91"/>
      <c r="F54" s="38"/>
      <c r="G54" s="38"/>
      <c r="H54" s="38"/>
      <c r="I54" s="89"/>
      <c r="J54" s="38"/>
      <c r="K54" s="40"/>
      <c r="L54" s="40"/>
      <c r="M54" s="101"/>
      <c r="N54" s="38"/>
      <c r="O54" s="39"/>
      <c r="P54" s="33"/>
      <c r="Q54" s="105"/>
    </row>
    <row r="55" spans="1:17" s="16" customFormat="1" ht="12">
      <c r="A55" s="11" t="s">
        <v>13</v>
      </c>
      <c r="B55" s="22">
        <f>F55+J55+N55</f>
        <v>19746326</v>
      </c>
      <c r="C55" s="25">
        <f aca="true" t="shared" si="13" ref="C55:D59">G55+O55+K55</f>
        <v>21110290</v>
      </c>
      <c r="D55" s="25">
        <f t="shared" si="13"/>
        <v>20170675</v>
      </c>
      <c r="E55" s="90">
        <f t="shared" si="4"/>
        <v>95.54901898552791</v>
      </c>
      <c r="F55" s="17">
        <f aca="true" t="shared" si="14" ref="F55:O55">SUM(F47+F42+F37+F31+F26+F20+F15+F10)</f>
        <v>13776656</v>
      </c>
      <c r="G55" s="56">
        <f t="shared" si="14"/>
        <v>15119161</v>
      </c>
      <c r="H55" s="19">
        <f>SUM(H47+H42+H37+H31+H26+H20+H15+H10)</f>
        <v>14590616</v>
      </c>
      <c r="I55" s="83">
        <f t="shared" si="3"/>
        <v>96.50413802723577</v>
      </c>
      <c r="J55" s="49">
        <f t="shared" si="14"/>
        <v>1033830</v>
      </c>
      <c r="K55" s="19">
        <f t="shared" si="14"/>
        <v>1040420</v>
      </c>
      <c r="L55" s="19">
        <f>SUM(L47+L42+L37+L31+L26+L20+L15+L10)</f>
        <v>944049</v>
      </c>
      <c r="M55" s="83">
        <f>L55/K55*100</f>
        <v>90.73729839872358</v>
      </c>
      <c r="N55" s="49">
        <f t="shared" si="14"/>
        <v>4935840</v>
      </c>
      <c r="O55" s="56">
        <f t="shared" si="14"/>
        <v>4950709</v>
      </c>
      <c r="P55" s="19">
        <f>SUM(P47+P42+P37+P31+P26+P20+P15+P10)</f>
        <v>4636010</v>
      </c>
      <c r="Q55" s="103">
        <f t="shared" si="5"/>
        <v>93.643354921487</v>
      </c>
    </row>
    <row r="56" spans="1:17" s="16" customFormat="1" ht="12">
      <c r="A56" s="14" t="s">
        <v>14</v>
      </c>
      <c r="B56" s="22">
        <f>F56+J56+N56</f>
        <v>13489330</v>
      </c>
      <c r="C56" s="23">
        <f t="shared" si="13"/>
        <v>14988236</v>
      </c>
      <c r="D56" s="23">
        <f t="shared" si="13"/>
        <v>12982659</v>
      </c>
      <c r="E56" s="90">
        <f t="shared" si="4"/>
        <v>86.6189923884305</v>
      </c>
      <c r="F56" s="17">
        <f aca="true" t="shared" si="15" ref="F56:K57">SUM(F48+F43+F38+F32+F27+F21+F16+F11)</f>
        <v>3714065</v>
      </c>
      <c r="G56" s="57">
        <f t="shared" si="15"/>
        <v>5140397</v>
      </c>
      <c r="H56" s="17">
        <f>SUM(H48+H43+H38+H32+H27+H21+H16+H11)</f>
        <v>4306830</v>
      </c>
      <c r="I56" s="84">
        <f t="shared" si="3"/>
        <v>83.78399567192962</v>
      </c>
      <c r="J56" s="50">
        <f t="shared" si="15"/>
        <v>527210</v>
      </c>
      <c r="K56" s="17">
        <f t="shared" si="15"/>
        <v>507790</v>
      </c>
      <c r="L56" s="17">
        <f>SUM(L48+L43+L38+L32+L27+L21+L16+L11)</f>
        <v>477951</v>
      </c>
      <c r="M56" s="84">
        <f>L56/K56*100</f>
        <v>94.12375194470155</v>
      </c>
      <c r="N56" s="50">
        <f>N11+N16+N21+N27+N32+N38+N43+N48+N52</f>
        <v>9248055</v>
      </c>
      <c r="O56" s="57">
        <f>O11+O16+O21+O27+O32+O38+O43+O48+O52</f>
        <v>9340049</v>
      </c>
      <c r="P56" s="17">
        <f>P11+P16+P21+P27+P32+P38+P43+P48+P52</f>
        <v>8197878</v>
      </c>
      <c r="Q56" s="105">
        <f t="shared" si="5"/>
        <v>87.77125259192967</v>
      </c>
    </row>
    <row r="57" spans="1:17" s="16" customFormat="1" ht="12">
      <c r="A57" s="14" t="s">
        <v>15</v>
      </c>
      <c r="B57" s="22">
        <f>F57+J57+N57</f>
        <v>7718636</v>
      </c>
      <c r="C57" s="23">
        <f t="shared" si="13"/>
        <v>7981952</v>
      </c>
      <c r="D57" s="23">
        <f t="shared" si="13"/>
        <v>7319724</v>
      </c>
      <c r="E57" s="90">
        <f t="shared" si="4"/>
        <v>91.70343294472329</v>
      </c>
      <c r="F57" s="17">
        <f t="shared" si="15"/>
        <v>810182</v>
      </c>
      <c r="G57" s="57">
        <f t="shared" si="15"/>
        <v>1024267</v>
      </c>
      <c r="H57" s="17">
        <f>SUM(H49+H44+H39+H33+H28+H22+H17+H12)</f>
        <v>977316</v>
      </c>
      <c r="I57" s="84">
        <f t="shared" si="3"/>
        <v>95.41613661281677</v>
      </c>
      <c r="J57" s="50">
        <f t="shared" si="15"/>
        <v>113050</v>
      </c>
      <c r="K57" s="17">
        <f t="shared" si="15"/>
        <v>127480</v>
      </c>
      <c r="L57" s="17">
        <f>SUM(L49+L44+L39+L33+L28+L22+L17+L12)</f>
        <v>55825</v>
      </c>
      <c r="M57" s="84">
        <f>L57/K57*100</f>
        <v>43.791182930655786</v>
      </c>
      <c r="N57" s="50">
        <f>SUM(N49+N44+N39+N33+N28+N22+N17+N12)</f>
        <v>6795404</v>
      </c>
      <c r="O57" s="57">
        <f>SUM(O49+O44+O39+O33+O28+O22+O17+O12)</f>
        <v>6830205</v>
      </c>
      <c r="P57" s="17">
        <f>SUM(P49+P44+P39+P33+P28+P22+P17+P12)</f>
        <v>6286583</v>
      </c>
      <c r="Q57" s="105">
        <f t="shared" si="5"/>
        <v>92.04091238842757</v>
      </c>
    </row>
    <row r="58" spans="1:17" ht="12">
      <c r="A58" s="14" t="s">
        <v>17</v>
      </c>
      <c r="B58" s="22">
        <f>F58+J58+N58</f>
        <v>725837</v>
      </c>
      <c r="C58" s="31">
        <f t="shared" si="13"/>
        <v>118355</v>
      </c>
      <c r="D58" s="31">
        <f t="shared" si="13"/>
        <v>0</v>
      </c>
      <c r="E58" s="90">
        <f t="shared" si="4"/>
        <v>0</v>
      </c>
      <c r="F58" s="23">
        <f>F51+F45+F40+F34+F29+F23+F18+F13+F24+F53+F35</f>
        <v>365535</v>
      </c>
      <c r="G58" s="26">
        <f>G51+G45+G40+G34+G29+G23+G18+G13+G24+G53+G35</f>
        <v>0</v>
      </c>
      <c r="H58" s="31">
        <f>H51+H45+H40+H34+H29+H23+H18+H13+H24+H53+H35</f>
        <v>0</v>
      </c>
      <c r="I58" s="85" t="s">
        <v>38</v>
      </c>
      <c r="J58" s="8">
        <f>J51+J45+J40+J34+J29+J23+J18+J13</f>
        <v>0</v>
      </c>
      <c r="K58" s="12">
        <f>K51+K45+K40+K34+K29+K23+K18+K13</f>
        <v>0</v>
      </c>
      <c r="L58" s="12">
        <f>L51+L45+L40+L34+L29+L23+L18+L13</f>
        <v>0</v>
      </c>
      <c r="M58" s="85" t="s">
        <v>38</v>
      </c>
      <c r="N58" s="53">
        <f>N53</f>
        <v>360302</v>
      </c>
      <c r="O58" s="26">
        <f>O53</f>
        <v>118355</v>
      </c>
      <c r="P58" s="31">
        <f>P53</f>
        <v>0</v>
      </c>
      <c r="Q58" s="106">
        <f t="shared" si="5"/>
        <v>0</v>
      </c>
    </row>
    <row r="59" spans="1:17" s="35" customFormat="1" ht="12">
      <c r="A59" s="33" t="s">
        <v>18</v>
      </c>
      <c r="B59" s="34">
        <f>F59+J59+N59</f>
        <v>41680129</v>
      </c>
      <c r="C59" s="34">
        <f t="shared" si="13"/>
        <v>44198833</v>
      </c>
      <c r="D59" s="34">
        <f t="shared" si="13"/>
        <v>40473058</v>
      </c>
      <c r="E59" s="92">
        <f t="shared" si="4"/>
        <v>91.5704222326413</v>
      </c>
      <c r="F59" s="41">
        <f aca="true" t="shared" si="16" ref="F59:P59">SUM(F58+F57+F56+F55)</f>
        <v>18666438</v>
      </c>
      <c r="G59" s="41">
        <f t="shared" si="16"/>
        <v>21283825</v>
      </c>
      <c r="H59" s="41">
        <f>SUM(H58+H57+H56+H55)</f>
        <v>19874762</v>
      </c>
      <c r="I59" s="82">
        <f t="shared" si="3"/>
        <v>93.37965332829037</v>
      </c>
      <c r="J59" s="42">
        <f t="shared" si="16"/>
        <v>1674090</v>
      </c>
      <c r="K59" s="42">
        <f t="shared" si="16"/>
        <v>1675690</v>
      </c>
      <c r="L59" s="42">
        <f>SUM(L58+L57+L56+L55)</f>
        <v>1477825</v>
      </c>
      <c r="M59" s="102">
        <f>L59/K59*100</f>
        <v>88.19202835846725</v>
      </c>
      <c r="N59" s="42">
        <f t="shared" si="16"/>
        <v>21339601</v>
      </c>
      <c r="O59" s="42">
        <f t="shared" si="16"/>
        <v>21239318</v>
      </c>
      <c r="P59" s="42">
        <f t="shared" si="16"/>
        <v>19120471</v>
      </c>
      <c r="Q59" s="92">
        <f t="shared" si="5"/>
        <v>90.02394050505765</v>
      </c>
    </row>
    <row r="60" spans="14:16" ht="12">
      <c r="N60" s="16"/>
      <c r="P60" s="8"/>
    </row>
  </sheetData>
  <sheetProtection/>
  <mergeCells count="7">
    <mergeCell ref="N3:O3"/>
    <mergeCell ref="A4:K4"/>
    <mergeCell ref="A3:M3"/>
    <mergeCell ref="J5:M5"/>
    <mergeCell ref="N5:Q5"/>
    <mergeCell ref="B5:E5"/>
    <mergeCell ref="F5:I5"/>
  </mergeCells>
  <printOptions/>
  <pageMargins left="1.299212598425197" right="0.7086614173228347" top="0.15748031496062992" bottom="0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Mariya Ivanova</cp:lastModifiedBy>
  <cp:lastPrinted>2017-07-03T08:04:12Z</cp:lastPrinted>
  <dcterms:created xsi:type="dcterms:W3CDTF">2004-01-15T12:26:23Z</dcterms:created>
  <dcterms:modified xsi:type="dcterms:W3CDTF">2017-07-06T08:26:16Z</dcterms:modified>
  <cp:category/>
  <cp:version/>
  <cp:contentType/>
  <cp:contentStatus/>
</cp:coreProperties>
</file>